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285" windowWidth="8850" windowHeight="6705" tabRatio="790" activeTab="0"/>
  </bookViews>
  <sheets>
    <sheet name="Instructions" sheetId="1" r:id="rId1"/>
    <sheet name="raw data" sheetId="2" r:id="rId2"/>
    <sheet name="calibrated data" sheetId="3" r:id="rId3"/>
    <sheet name="calculated variables" sheetId="4" r:id="rId4"/>
    <sheet name="SEB_" sheetId="5" r:id="rId5"/>
    <sheet name="Sg" sheetId="6" state="hidden" r:id="rId6"/>
    <sheet name="T" sheetId="7" state="hidden" r:id="rId7"/>
    <sheet name="u" sheetId="8" state="hidden" r:id="rId8"/>
    <sheet name="SEB" sheetId="9" state="hidden" r:id="rId9"/>
  </sheets>
  <definedNames/>
  <calcPr fullCalcOnLoad="1"/>
</workbook>
</file>

<file path=xl/sharedStrings.xml><?xml version="1.0" encoding="utf-8"?>
<sst xmlns="http://schemas.openxmlformats.org/spreadsheetml/2006/main" count="183" uniqueCount="122">
  <si>
    <t>Day No.</t>
  </si>
  <si>
    <t>Time</t>
  </si>
  <si>
    <t>G</t>
  </si>
  <si>
    <t>T</t>
  </si>
  <si>
    <t>U</t>
  </si>
  <si>
    <t>u</t>
  </si>
  <si>
    <t>ddd</t>
  </si>
  <si>
    <t>h:m</t>
  </si>
  <si>
    <t>mV</t>
  </si>
  <si>
    <t>counts</t>
  </si>
  <si>
    <t>Parameter</t>
  </si>
  <si>
    <t>Symbol</t>
  </si>
  <si>
    <t>Instrument</t>
  </si>
  <si>
    <t>Dec time</t>
  </si>
  <si>
    <t>Slope</t>
  </si>
  <si>
    <t>Offset</t>
  </si>
  <si>
    <t>h</t>
  </si>
  <si>
    <r>
      <t>Wm</t>
    </r>
    <r>
      <rPr>
        <b/>
        <vertAlign val="superscript"/>
        <sz val="11"/>
        <rFont val="Times New Roman"/>
        <family val="1"/>
      </rPr>
      <t>-2</t>
    </r>
  </si>
  <si>
    <t>deg C</t>
  </si>
  <si>
    <t>%</t>
  </si>
  <si>
    <r>
      <t>ms</t>
    </r>
    <r>
      <rPr>
        <b/>
        <vertAlign val="superscript"/>
        <sz val="11"/>
        <rFont val="Times New Roman"/>
        <family val="1"/>
      </rPr>
      <t>-1</t>
    </r>
  </si>
  <si>
    <t>deg</t>
  </si>
  <si>
    <t>Solar Global</t>
  </si>
  <si>
    <t>K&amp;Z CM5</t>
  </si>
  <si>
    <t>828767</t>
  </si>
  <si>
    <t>µV/W.m-2</t>
  </si>
  <si>
    <t>Net radiation</t>
  </si>
  <si>
    <t>Middleton</t>
  </si>
  <si>
    <t>A059</t>
  </si>
  <si>
    <t>Ground heat flux</t>
  </si>
  <si>
    <t>F947/950</t>
  </si>
  <si>
    <t>mV/K</t>
  </si>
  <si>
    <t xml:space="preserve">mV </t>
  </si>
  <si>
    <t>Relative humidity</t>
  </si>
  <si>
    <t>mV/%</t>
  </si>
  <si>
    <t>Hz/m.s-1</t>
  </si>
  <si>
    <t>mV/deg</t>
  </si>
  <si>
    <t xml:space="preserve">e </t>
  </si>
  <si>
    <t>r</t>
  </si>
  <si>
    <t>Name</t>
  </si>
  <si>
    <t>Units</t>
  </si>
  <si>
    <t>hPa</t>
  </si>
  <si>
    <t>Atmospheric pressure</t>
  </si>
  <si>
    <t>p</t>
  </si>
  <si>
    <t>Air density</t>
  </si>
  <si>
    <r>
      <t>kg m</t>
    </r>
    <r>
      <rPr>
        <vertAlign val="superscript"/>
        <sz val="10"/>
        <rFont val="Times New Roman"/>
        <family val="1"/>
      </rPr>
      <t>-3</t>
    </r>
  </si>
  <si>
    <r>
      <t xml:space="preserve"> J kg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 xml:space="preserve"> K</t>
    </r>
    <r>
      <rPr>
        <vertAlign val="superscript"/>
        <sz val="10"/>
        <rFont val="Times New Roman"/>
        <family val="1"/>
      </rPr>
      <t>-1</t>
    </r>
  </si>
  <si>
    <t>L</t>
  </si>
  <si>
    <t>J</t>
  </si>
  <si>
    <t>K</t>
  </si>
  <si>
    <t>A</t>
  </si>
  <si>
    <t>T'</t>
  </si>
  <si>
    <t>e</t>
  </si>
  <si>
    <t>g</t>
  </si>
  <si>
    <r>
      <t>hPa K</t>
    </r>
    <r>
      <rPr>
        <vertAlign val="superscript"/>
        <sz val="10"/>
        <rFont val="Times New Roman"/>
        <family val="1"/>
      </rPr>
      <t>-1</t>
    </r>
  </si>
  <si>
    <t>k</t>
  </si>
  <si>
    <t>m</t>
  </si>
  <si>
    <t>z</t>
  </si>
  <si>
    <r>
      <t>s m</t>
    </r>
    <r>
      <rPr>
        <vertAlign val="superscript"/>
        <sz val="10"/>
        <rFont val="Times New Roman"/>
        <family val="1"/>
      </rPr>
      <t>-1</t>
    </r>
  </si>
  <si>
    <t>u*</t>
  </si>
  <si>
    <r>
      <t>r</t>
    </r>
    <r>
      <rPr>
        <b/>
        <i/>
        <vertAlign val="subscript"/>
        <sz val="11"/>
        <rFont val="Times New Roman"/>
        <family val="1"/>
      </rPr>
      <t>a</t>
    </r>
  </si>
  <si>
    <r>
      <t>1+r</t>
    </r>
    <r>
      <rPr>
        <b/>
        <i/>
        <vertAlign val="subscript"/>
        <sz val="11"/>
        <rFont val="Times New Roman"/>
        <family val="1"/>
      </rPr>
      <t>c</t>
    </r>
    <r>
      <rPr>
        <b/>
        <i/>
        <sz val="11"/>
        <rFont val="Times New Roman"/>
        <family val="1"/>
      </rPr>
      <t>/r</t>
    </r>
    <r>
      <rPr>
        <b/>
        <i/>
        <vertAlign val="subscript"/>
        <sz val="11"/>
        <rFont val="Times New Roman"/>
        <family val="1"/>
      </rPr>
      <t>a</t>
    </r>
  </si>
  <si>
    <t>LE</t>
  </si>
  <si>
    <t>H</t>
  </si>
  <si>
    <t>B</t>
  </si>
  <si>
    <t>E</t>
  </si>
  <si>
    <r>
      <t>R</t>
    </r>
    <r>
      <rPr>
        <b/>
        <vertAlign val="subscript"/>
        <sz val="11"/>
        <rFont val="Times New Roman"/>
        <family val="1"/>
      </rPr>
      <t>net</t>
    </r>
  </si>
  <si>
    <t>Budget</t>
  </si>
  <si>
    <r>
      <t>s.m</t>
    </r>
    <r>
      <rPr>
        <b/>
        <vertAlign val="superscript"/>
        <sz val="11"/>
        <rFont val="Times New Roman"/>
        <family val="1"/>
      </rPr>
      <t>-1</t>
    </r>
  </si>
  <si>
    <r>
      <t>mm h</t>
    </r>
    <r>
      <rPr>
        <b/>
        <vertAlign val="superscript"/>
        <sz val="11"/>
        <rFont val="Times New Roman"/>
        <family val="1"/>
      </rPr>
      <t>-1</t>
    </r>
  </si>
  <si>
    <t>Dec day</t>
  </si>
  <si>
    <t>d</t>
  </si>
  <si>
    <t>Dec Day</t>
  </si>
  <si>
    <t>Met Mast - Raw Data</t>
  </si>
  <si>
    <t>Met Mast - Calibrated Data</t>
  </si>
  <si>
    <t>Met Mast - Calculated Variables</t>
  </si>
  <si>
    <t>Met Mast - Surface Energy Budget</t>
  </si>
  <si>
    <t>Sp heat at constant pressure</t>
  </si>
  <si>
    <t>Latent heat</t>
  </si>
  <si>
    <r>
      <t>SVP at 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</t>
    </r>
  </si>
  <si>
    <t>gas constant for water</t>
  </si>
  <si>
    <r>
      <t>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C in kelvin</t>
    </r>
  </si>
  <si>
    <t xml:space="preserve">Constant's in Teten's </t>
  </si>
  <si>
    <t>formula</t>
  </si>
  <si>
    <t>Molar mass ratio</t>
  </si>
  <si>
    <t>Psychrometer constant</t>
  </si>
  <si>
    <t>von Karman's constant</t>
  </si>
  <si>
    <t>Roughness length</t>
  </si>
  <si>
    <t>Wind measurement height</t>
  </si>
  <si>
    <t>Temp measurement height</t>
  </si>
  <si>
    <t xml:space="preserve">Canopy resistance </t>
  </si>
  <si>
    <t>Wind speed</t>
  </si>
  <si>
    <t>Wind direction</t>
  </si>
  <si>
    <t>Model no</t>
  </si>
  <si>
    <t>Vector A100</t>
  </si>
  <si>
    <t>Calibration</t>
  </si>
  <si>
    <t>Constant</t>
  </si>
  <si>
    <t>Dry bulb temp</t>
  </si>
  <si>
    <r>
      <t>S</t>
    </r>
    <r>
      <rPr>
        <b/>
        <i/>
        <vertAlign val="subscript"/>
        <sz val="9"/>
        <rFont val="Times New Roman"/>
        <family val="1"/>
      </rPr>
      <t>g</t>
    </r>
  </si>
  <si>
    <r>
      <t>R</t>
    </r>
    <r>
      <rPr>
        <b/>
        <i/>
        <vertAlign val="subscript"/>
        <sz val="9"/>
        <rFont val="Times New Roman"/>
        <family val="1"/>
      </rPr>
      <t>n</t>
    </r>
  </si>
  <si>
    <t>Vaisala</t>
  </si>
  <si>
    <t>Vector A101M</t>
  </si>
  <si>
    <t>Ser. no</t>
  </si>
  <si>
    <r>
      <t>S</t>
    </r>
    <r>
      <rPr>
        <b/>
        <i/>
        <vertAlign val="subscript"/>
        <sz val="10"/>
        <rFont val="Times New Roman"/>
        <family val="1"/>
      </rPr>
      <t>g</t>
    </r>
  </si>
  <si>
    <r>
      <t>R</t>
    </r>
    <r>
      <rPr>
        <b/>
        <i/>
        <vertAlign val="subscript"/>
        <sz val="10"/>
        <rFont val="Times New Roman"/>
        <family val="1"/>
      </rPr>
      <t>n</t>
    </r>
  </si>
  <si>
    <r>
      <t>u</t>
    </r>
    <r>
      <rPr>
        <b/>
        <i/>
        <vertAlign val="subscript"/>
        <sz val="10"/>
        <rFont val="Times New Roman"/>
        <family val="1"/>
      </rPr>
      <t>max</t>
    </r>
  </si>
  <si>
    <r>
      <t>Wm</t>
    </r>
    <r>
      <rPr>
        <b/>
        <vertAlign val="superscript"/>
        <sz val="10"/>
        <rFont val="Times New Roman"/>
        <family val="1"/>
      </rPr>
      <t>-2</t>
    </r>
  </si>
  <si>
    <r>
      <t>Wm</t>
    </r>
    <r>
      <rPr>
        <b/>
        <vertAlign val="superscript"/>
        <sz val="10"/>
        <rFont val="Times New Roman"/>
        <family val="1"/>
      </rPr>
      <t>-3</t>
    </r>
  </si>
  <si>
    <r>
      <t>ms</t>
    </r>
    <r>
      <rPr>
        <b/>
        <vertAlign val="superscript"/>
        <sz val="10"/>
        <rFont val="Times New Roman"/>
        <family val="1"/>
      </rPr>
      <t>-1</t>
    </r>
  </si>
  <si>
    <r>
      <t>e</t>
    </r>
    <r>
      <rPr>
        <b/>
        <i/>
        <vertAlign val="subscript"/>
        <sz val="10"/>
        <rFont val="Times New Roman"/>
        <family val="1"/>
      </rPr>
      <t>s</t>
    </r>
  </si>
  <si>
    <r>
      <t>d</t>
    </r>
    <r>
      <rPr>
        <b/>
        <i/>
        <sz val="10"/>
        <rFont val="Times New Roman"/>
        <family val="1"/>
      </rPr>
      <t>e</t>
    </r>
    <r>
      <rPr>
        <b/>
        <i/>
        <vertAlign val="subscript"/>
        <sz val="10"/>
        <rFont val="Times New Roman"/>
        <family val="1"/>
      </rPr>
      <t>s</t>
    </r>
    <r>
      <rPr>
        <b/>
        <i/>
        <sz val="10"/>
        <rFont val="Times New Roman"/>
        <family val="1"/>
      </rPr>
      <t>/</t>
    </r>
    <r>
      <rPr>
        <b/>
        <sz val="10"/>
        <rFont val="Times New Roman"/>
        <family val="1"/>
      </rPr>
      <t>d</t>
    </r>
    <r>
      <rPr>
        <b/>
        <i/>
        <sz val="10"/>
        <rFont val="Times New Roman"/>
        <family val="1"/>
      </rPr>
      <t>T</t>
    </r>
  </si>
  <si>
    <r>
      <t>T</t>
    </r>
    <r>
      <rPr>
        <b/>
        <i/>
        <vertAlign val="subscript"/>
        <sz val="10"/>
        <rFont val="Times New Roman"/>
        <family val="1"/>
      </rPr>
      <t>d</t>
    </r>
  </si>
  <si>
    <r>
      <t>hPaK</t>
    </r>
    <r>
      <rPr>
        <b/>
        <vertAlign val="superscript"/>
        <sz val="10"/>
        <rFont val="Times New Roman"/>
        <family val="1"/>
      </rPr>
      <t>-1</t>
    </r>
  </si>
  <si>
    <r>
      <t>0</t>
    </r>
    <r>
      <rPr>
        <b/>
        <sz val="10"/>
        <rFont val="Times New Roman"/>
        <family val="1"/>
      </rPr>
      <t>C</t>
    </r>
  </si>
  <si>
    <r>
      <t>gkg</t>
    </r>
    <r>
      <rPr>
        <b/>
        <vertAlign val="superscript"/>
        <sz val="10"/>
        <rFont val="Times New Roman"/>
        <family val="1"/>
      </rPr>
      <t>-1</t>
    </r>
  </si>
  <si>
    <r>
      <t>c</t>
    </r>
    <r>
      <rPr>
        <i/>
        <vertAlign val="subscript"/>
        <sz val="10"/>
        <rFont val="Times New Roman"/>
        <family val="1"/>
      </rPr>
      <t>p</t>
    </r>
  </si>
  <si>
    <r>
      <t>e</t>
    </r>
    <r>
      <rPr>
        <i/>
        <vertAlign val="subscript"/>
        <sz val="10"/>
        <rFont val="Times New Roman"/>
        <family val="1"/>
      </rPr>
      <t>o</t>
    </r>
  </si>
  <si>
    <r>
      <t>R</t>
    </r>
    <r>
      <rPr>
        <i/>
        <vertAlign val="subscript"/>
        <sz val="10"/>
        <rFont val="Times New Roman"/>
        <family val="1"/>
      </rPr>
      <t>v</t>
    </r>
  </si>
  <si>
    <r>
      <t>T</t>
    </r>
    <r>
      <rPr>
        <i/>
        <vertAlign val="subscript"/>
        <sz val="10"/>
        <rFont val="Times New Roman"/>
        <family val="1"/>
      </rPr>
      <t>0</t>
    </r>
  </si>
  <si>
    <r>
      <t>z</t>
    </r>
    <r>
      <rPr>
        <i/>
        <vertAlign val="subscript"/>
        <sz val="10"/>
        <rFont val="Times New Roman"/>
        <family val="1"/>
      </rPr>
      <t>0</t>
    </r>
  </si>
  <si>
    <r>
      <t>z</t>
    </r>
    <r>
      <rPr>
        <i/>
        <vertAlign val="subscript"/>
        <sz val="10"/>
        <rFont val="Times New Roman"/>
        <family val="1"/>
      </rPr>
      <t>T</t>
    </r>
  </si>
  <si>
    <r>
      <t>r</t>
    </r>
    <r>
      <rPr>
        <i/>
        <vertAlign val="subscript"/>
        <sz val="10"/>
        <rFont val="Times New Roman"/>
        <family val="1"/>
      </rPr>
      <t>c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</si>
</sst>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000000"/>
    <numFmt numFmtId="174" formatCode="0000000.000000"/>
    <numFmt numFmtId="175" formatCode="0.0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4"/>
      <name val="Times New Roman"/>
      <family val="0"/>
    </font>
    <font>
      <b/>
      <u val="single"/>
      <sz val="10"/>
      <name val="Times New Roman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9"/>
      <name val="Times New Roman"/>
      <family val="1"/>
    </font>
    <font>
      <sz val="8"/>
      <color indexed="8"/>
      <name val="MS Sans Serif"/>
      <family val="0"/>
    </font>
    <font>
      <vertAlign val="superscript"/>
      <sz val="10"/>
      <name val="Times New Roman"/>
      <family val="1"/>
    </font>
    <font>
      <b/>
      <sz val="8"/>
      <color indexed="8"/>
      <name val="MS Sans Serif"/>
      <family val="0"/>
    </font>
    <font>
      <b/>
      <i/>
      <vertAlign val="subscript"/>
      <sz val="10"/>
      <name val="Times New Roman"/>
      <family val="1"/>
    </font>
    <font>
      <b/>
      <vertAlign val="superscript"/>
      <sz val="10"/>
      <name val="Arial"/>
      <family val="2"/>
    </font>
    <font>
      <b/>
      <i/>
      <sz val="11"/>
      <name val="Times New Roman"/>
      <family val="1"/>
    </font>
    <font>
      <b/>
      <i/>
      <vertAlign val="sub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0"/>
    </font>
    <font>
      <b/>
      <i/>
      <sz val="9"/>
      <name val="Times New Roman"/>
      <family val="1"/>
    </font>
    <font>
      <b/>
      <i/>
      <vertAlign val="subscript"/>
      <sz val="9"/>
      <name val="Times New Roman"/>
      <family val="1"/>
    </font>
    <font>
      <sz val="9"/>
      <color indexed="8"/>
      <name val="MS Sans Serif"/>
      <family val="0"/>
    </font>
    <font>
      <b/>
      <vertAlign val="superscript"/>
      <sz val="10"/>
      <name val="Times New Roman"/>
      <family val="1"/>
    </font>
    <font>
      <sz val="10"/>
      <name val="Symbol"/>
      <family val="1"/>
    </font>
    <font>
      <i/>
      <vertAlign val="subscript"/>
      <sz val="10"/>
      <name val="Times New Roman"/>
      <family val="1"/>
    </font>
    <font>
      <i/>
      <sz val="10"/>
      <name val="Symbol"/>
      <family val="1"/>
    </font>
    <font>
      <b/>
      <sz val="22"/>
      <name val="Arial"/>
      <family val="2"/>
    </font>
    <font>
      <b/>
      <sz val="21.7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17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9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NumberFormat="1" applyFont="1" applyFill="1" applyBorder="1" applyAlignment="1" applyProtection="1">
      <alignment horizontal="left" vertical="top" wrapText="1"/>
      <protection locked="0"/>
    </xf>
    <xf numFmtId="1" fontId="1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right"/>
    </xf>
    <xf numFmtId="11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6" fillId="3" borderId="3" xfId="0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172" fontId="14" fillId="3" borderId="3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 quotePrefix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1" fillId="2" borderId="1" xfId="0" applyFont="1" applyFill="1" applyBorder="1" applyAlignment="1">
      <alignment/>
    </xf>
    <xf numFmtId="0" fontId="2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21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center"/>
    </xf>
    <xf numFmtId="0" fontId="8" fillId="2" borderId="1" xfId="0" applyFont="1" applyFill="1" applyBorder="1" applyAlignment="1" quotePrefix="1">
      <alignment horizontal="left"/>
    </xf>
    <xf numFmtId="0" fontId="21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/>
    </xf>
    <xf numFmtId="0" fontId="24" fillId="4" borderId="1" xfId="0" applyNumberFormat="1" applyFont="1" applyFill="1" applyBorder="1" applyAlignment="1" applyProtection="1">
      <alignment horizontal="right" vertical="top" wrapText="1"/>
      <protection locked="0"/>
    </xf>
    <xf numFmtId="0" fontId="24" fillId="4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2" fontId="25" fillId="3" borderId="3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5" borderId="0" xfId="0" applyFill="1" applyAlignment="1">
      <alignment/>
    </xf>
    <xf numFmtId="2" fontId="1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1" fillId="2" borderId="9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1" fillId="2" borderId="9" xfId="0" applyFont="1" applyFill="1" applyBorder="1" applyAlignment="1">
      <alignment/>
    </xf>
    <xf numFmtId="0" fontId="0" fillId="0" borderId="11" xfId="0" applyBorder="1" applyAlignment="1">
      <alignment/>
    </xf>
    <xf numFmtId="0" fontId="18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/>
              <a:t>Solar and Net Radiation fluxes</a:t>
            </a:r>
          </a:p>
        </c:rich>
      </c:tx>
      <c:layout>
        <c:manualLayout>
          <c:xMode val="factor"/>
          <c:yMode val="factor"/>
          <c:x val="0.00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875"/>
          <c:w val="0.95025"/>
          <c:h val="0.8935"/>
        </c:manualLayout>
      </c:layout>
      <c:scatterChart>
        <c:scatterStyle val="smooth"/>
        <c:varyColors val="0"/>
        <c:ser>
          <c:idx val="0"/>
          <c:order val="0"/>
          <c:tx>
            <c:v>Solar radiation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'calibrated data'!$C$5:$C$5</c:f>
              <c:numCache>
                <c:ptCount val="1"/>
                <c:pt idx="0">
                  <c:v>15.333333333333334</c:v>
                </c:pt>
              </c:numCache>
            </c:numRef>
          </c:xVal>
          <c:yVal>
            <c:numRef>
              <c:f>'calibrated data'!$E$5:$E$5</c:f>
              <c:numCache>
                <c:ptCount val="1"/>
                <c:pt idx="0">
                  <c:v>486.53465346534654</c:v>
                </c:pt>
              </c:numCache>
            </c:numRef>
          </c:yVal>
          <c:smooth val="1"/>
        </c:ser>
        <c:ser>
          <c:idx val="1"/>
          <c:order val="1"/>
          <c:tx>
            <c:v>Net radiation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'calibrated data'!$C$5:$C$5</c:f>
              <c:numCache>
                <c:ptCount val="1"/>
                <c:pt idx="0">
                  <c:v>15.333333333333334</c:v>
                </c:pt>
              </c:numCache>
            </c:numRef>
          </c:xVal>
          <c:yVal>
            <c:numRef>
              <c:f>'calibrated data'!$F$5:$F$5</c:f>
              <c:numCache>
                <c:ptCount val="1"/>
                <c:pt idx="0">
                  <c:v>138.85906040268455</c:v>
                </c:pt>
              </c:numCache>
            </c:numRef>
          </c:yVal>
          <c:smooth val="1"/>
        </c:ser>
        <c:axId val="1359459"/>
        <c:axId val="12235132"/>
      </c:scatterChart>
      <c:valAx>
        <c:axId val="1359459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of day (hrs)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235132"/>
        <c:crossesAt val="-200"/>
        <c:crossBetween val="midCat"/>
        <c:dispUnits/>
        <c:majorUnit val="1"/>
        <c:minorUnit val="1"/>
      </c:valAx>
      <c:valAx>
        <c:axId val="1223513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Energy flux (Wm</a:t>
                </a:r>
                <a:r>
                  <a:rPr lang="en-US" cap="none" sz="1000" b="1" i="0" u="none" baseline="30000"/>
                  <a:t>-2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359459"/>
        <c:crosses val="autoZero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2200" b="1" i="0" u="none" baseline="0"/>
              <a:t>Air Temperature, Dewpoint and Relative Humidity </a:t>
            </a:r>
          </a:p>
        </c:rich>
      </c:tx>
      <c:layout>
        <c:manualLayout>
          <c:xMode val="factor"/>
          <c:yMode val="factor"/>
          <c:x val="0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94"/>
          <c:w val="0.962"/>
          <c:h val="0.8845"/>
        </c:manualLayout>
      </c:layout>
      <c:scatterChart>
        <c:scatterStyle val="smooth"/>
        <c:varyColors val="0"/>
        <c:ser>
          <c:idx val="0"/>
          <c:order val="0"/>
          <c:tx>
            <c:v>Air temperature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'calibrated data'!$C$5:$C$5</c:f>
              <c:numCache>
                <c:ptCount val="1"/>
                <c:pt idx="0">
                  <c:v>15.333333333333334</c:v>
                </c:pt>
              </c:numCache>
            </c:numRef>
          </c:xVal>
          <c:yVal>
            <c:numRef>
              <c:f>'calibrated data'!$H$5:$H$5</c:f>
              <c:numCache>
                <c:ptCount val="1"/>
                <c:pt idx="0">
                  <c:v>-8.989999999999998</c:v>
                </c:pt>
              </c:numCache>
            </c:numRef>
          </c:yVal>
          <c:smooth val="1"/>
        </c:ser>
        <c:ser>
          <c:idx val="1"/>
          <c:order val="1"/>
          <c:tx>
            <c:v>Dewpoint temperature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'calculated variables'!$C$5:$C$5</c:f>
              <c:numCache>
                <c:ptCount val="1"/>
                <c:pt idx="0">
                  <c:v>15.333333333333334</c:v>
                </c:pt>
              </c:numCache>
            </c:numRef>
          </c:xVal>
          <c:yVal>
            <c:numRef>
              <c:f>'calculated variables'!$H$5:$H$5</c:f>
              <c:numCache>
                <c:ptCount val="1"/>
                <c:pt idx="0">
                  <c:v>-16.68448468522964</c:v>
                </c:pt>
              </c:numCache>
            </c:numRef>
          </c:yVal>
          <c:smooth val="1"/>
        </c:ser>
        <c:axId val="43007325"/>
        <c:axId val="51521606"/>
      </c:scatterChart>
      <c:scatterChart>
        <c:scatterStyle val="lineMarker"/>
        <c:varyColors val="0"/>
        <c:ser>
          <c:idx val="2"/>
          <c:order val="2"/>
          <c:tx>
            <c:v>Relative humidity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'calibrated data'!$C$5:$C$5</c:f>
              <c:numCache>
                <c:ptCount val="1"/>
                <c:pt idx="0">
                  <c:v>15.333333333333334</c:v>
                </c:pt>
              </c:numCache>
            </c:numRef>
          </c:xVal>
          <c:yVal>
            <c:numRef>
              <c:f>'calibrated data'!$I$5:$I$5</c:f>
              <c:numCache>
                <c:ptCount val="1"/>
                <c:pt idx="0">
                  <c:v>53.470000000000006</c:v>
                </c:pt>
              </c:numCache>
            </c:numRef>
          </c:yVal>
          <c:smooth val="1"/>
        </c:ser>
        <c:axId val="61041271"/>
        <c:axId val="12500528"/>
      </c:scatterChart>
      <c:valAx>
        <c:axId val="43007325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of day (hrs)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521606"/>
        <c:crosses val="autoZero"/>
        <c:crossBetween val="midCat"/>
        <c:dispUnits/>
        <c:majorUnit val="1"/>
      </c:valAx>
      <c:valAx>
        <c:axId val="5152160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 ( </a:t>
                </a:r>
                <a:r>
                  <a:rPr lang="en-US" cap="none" sz="1000" b="1" i="0" u="none" baseline="30000"/>
                  <a:t>0</a:t>
                </a:r>
                <a:r>
                  <a:rPr lang="en-US" cap="none" sz="1000" b="1" i="0" u="none" baseline="0"/>
                  <a:t>C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3007325"/>
        <c:crosses val="autoZero"/>
        <c:crossBetween val="midCat"/>
        <c:dispUnits/>
        <c:majorUnit val="2"/>
        <c:minorUnit val="1"/>
      </c:valAx>
      <c:valAx>
        <c:axId val="61041271"/>
        <c:scaling>
          <c:orientation val="minMax"/>
        </c:scaling>
        <c:axPos val="b"/>
        <c:delete val="1"/>
        <c:majorTickMark val="in"/>
        <c:minorTickMark val="none"/>
        <c:tickLblPos val="nextTo"/>
        <c:crossAx val="12500528"/>
        <c:crosses val="max"/>
        <c:crossBetween val="midCat"/>
        <c:dispUnits/>
      </c:valAx>
      <c:valAx>
        <c:axId val="1250052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104127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15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/>
              <a:t>Wind Speed and Direction</a:t>
            </a:r>
          </a:p>
        </c:rich>
      </c:tx>
      <c:layout>
        <c:manualLayout>
          <c:xMode val="factor"/>
          <c:yMode val="factor"/>
          <c:x val="-0.01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9725"/>
          <c:w val="0.9655"/>
          <c:h val="0.88"/>
        </c:manualLayout>
      </c:layout>
      <c:scatterChart>
        <c:scatterStyle val="lineMarker"/>
        <c:varyColors val="0"/>
        <c:ser>
          <c:idx val="1"/>
          <c:order val="0"/>
          <c:tx>
            <c:v>Wind speed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'calibrated data'!$C$5:$C$5</c:f>
              <c:numCache>
                <c:ptCount val="1"/>
                <c:pt idx="0">
                  <c:v>15.333333333333334</c:v>
                </c:pt>
              </c:numCache>
            </c:numRef>
          </c:xVal>
          <c:yVal>
            <c:numRef>
              <c:f>'calibrated data'!$J$5:$J$5</c:f>
              <c:numCache>
                <c:ptCount val="1"/>
                <c:pt idx="0">
                  <c:v>1.2996</c:v>
                </c:pt>
              </c:numCache>
            </c:numRef>
          </c:yVal>
          <c:smooth val="0"/>
        </c:ser>
        <c:ser>
          <c:idx val="2"/>
          <c:order val="2"/>
          <c:tx>
            <c:v>Maximum gust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'calibrated data'!$C$5:$C$5</c:f>
              <c:numCache>
                <c:ptCount val="1"/>
                <c:pt idx="0">
                  <c:v>15.333333333333334</c:v>
                </c:pt>
              </c:numCache>
            </c:numRef>
          </c:xVal>
          <c:yVal>
            <c:numRef>
              <c:f>'calibrated data'!$K$5:$K$5</c:f>
              <c:numCache>
                <c:ptCount val="1"/>
                <c:pt idx="0">
                  <c:v>1.74</c:v>
                </c:pt>
              </c:numCache>
            </c:numRef>
          </c:yVal>
          <c:smooth val="0"/>
        </c:ser>
        <c:axId val="45395889"/>
        <c:axId val="5909818"/>
      </c:scatterChart>
      <c:scatterChart>
        <c:scatterStyle val="lineMarker"/>
        <c:varyColors val="0"/>
        <c:ser>
          <c:idx val="0"/>
          <c:order val="1"/>
          <c:tx>
            <c:v>Wind direction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'calibrated data'!$C$5:$C$5</c:f>
              <c:numCache>
                <c:ptCount val="1"/>
                <c:pt idx="0">
                  <c:v>15.333333333333334</c:v>
                </c:pt>
              </c:numCache>
            </c:numRef>
          </c:xVal>
          <c:yVal>
            <c:numRef>
              <c:f>'calibrated data'!$L$5:$L$5</c:f>
              <c:numCache>
                <c:ptCount val="1"/>
                <c:pt idx="0">
                  <c:v>209</c:v>
                </c:pt>
              </c:numCache>
            </c:numRef>
          </c:yVal>
          <c:smooth val="0"/>
        </c:ser>
        <c:axId val="53188363"/>
        <c:axId val="8933220"/>
      </c:scatterChart>
      <c:valAx>
        <c:axId val="45395889"/>
        <c:scaling>
          <c:orientation val="minMax"/>
          <c:max val="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
Time of day (hrs)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09818"/>
        <c:crosses val="autoZero"/>
        <c:crossBetween val="midCat"/>
        <c:dispUnits/>
        <c:majorUnit val="1"/>
      </c:valAx>
      <c:valAx>
        <c:axId val="590981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Wind Speed (m s</a:t>
                </a:r>
                <a:r>
                  <a:rPr lang="en-US" cap="none" sz="1000" b="1" i="0" u="none" baseline="30000"/>
                  <a:t>-1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5395889"/>
        <c:crosses val="autoZero"/>
        <c:crossBetween val="midCat"/>
        <c:dispUnits/>
        <c:majorUnit val="2"/>
        <c:minorUnit val="1"/>
      </c:valAx>
      <c:valAx>
        <c:axId val="53188363"/>
        <c:scaling>
          <c:orientation val="minMax"/>
        </c:scaling>
        <c:axPos val="b"/>
        <c:delete val="1"/>
        <c:majorTickMark val="in"/>
        <c:minorTickMark val="none"/>
        <c:tickLblPos val="nextTo"/>
        <c:crossAx val="8933220"/>
        <c:crosses val="max"/>
        <c:crossBetween val="midCat"/>
        <c:dispUnits/>
      </c:valAx>
      <c:valAx>
        <c:axId val="8933220"/>
        <c:scaling>
          <c:orientation val="minMax"/>
          <c:max val="3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Wind direction (degs)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188363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16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/>
              <a:t>Surface Energy Fluxes</a:t>
            </a:r>
          </a:p>
        </c:rich>
      </c:tx>
      <c:layout>
        <c:manualLayout>
          <c:xMode val="factor"/>
          <c:yMode val="factor"/>
          <c:x val="-0.005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7875"/>
          <c:w val="0.94625"/>
          <c:h val="0.90075"/>
        </c:manualLayout>
      </c:layout>
      <c:scatterChart>
        <c:scatterStyle val="smooth"/>
        <c:varyColors val="0"/>
        <c:ser>
          <c:idx val="1"/>
          <c:order val="0"/>
          <c:tx>
            <c:v>LE Wm-2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SEB_!$C$5:$C$5</c:f>
              <c:numCache>
                <c:ptCount val="1"/>
                <c:pt idx="0">
                  <c:v>15.333333333333334</c:v>
                </c:pt>
              </c:numCache>
            </c:numRef>
          </c:xVal>
          <c:yVal>
            <c:numRef>
              <c:f>SEB_!$H$5:$H$5</c:f>
              <c:numCache>
                <c:ptCount val="1"/>
                <c:pt idx="0">
                  <c:v>31.314592488907465</c:v>
                </c:pt>
              </c:numCache>
            </c:numRef>
          </c:yVal>
          <c:smooth val="1"/>
        </c:ser>
        <c:ser>
          <c:idx val="2"/>
          <c:order val="1"/>
          <c:tx>
            <c:v>G Wm-2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SEB_!$C$5:$C$5</c:f>
              <c:numCache>
                <c:ptCount val="1"/>
                <c:pt idx="0">
                  <c:v>15.333333333333334</c:v>
                </c:pt>
              </c:numCache>
            </c:numRef>
          </c:xVal>
          <c:yVal>
            <c:numRef>
              <c:f>SEB_!$L$5:$L$5</c:f>
              <c:numCache>
                <c:ptCount val="1"/>
                <c:pt idx="0">
                  <c:v>34.38095238095238</c:v>
                </c:pt>
              </c:numCache>
            </c:numRef>
          </c:yVal>
          <c:smooth val="1"/>
        </c:ser>
        <c:ser>
          <c:idx val="0"/>
          <c:order val="2"/>
          <c:tx>
            <c:v>H Wm-2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SEB_!$C$5:$C$5</c:f>
              <c:numCache>
                <c:ptCount val="1"/>
                <c:pt idx="0">
                  <c:v>15.333333333333334</c:v>
                </c:pt>
              </c:numCache>
            </c:numRef>
          </c:xVal>
          <c:yVal>
            <c:numRef>
              <c:f>SEB_!$I$5:$I$5</c:f>
              <c:numCache>
                <c:ptCount val="1"/>
                <c:pt idx="0">
                  <c:v>73.1635155328247</c:v>
                </c:pt>
              </c:numCache>
            </c:numRef>
          </c:yVal>
          <c:smooth val="1"/>
        </c:ser>
        <c:ser>
          <c:idx val="3"/>
          <c:order val="3"/>
          <c:tx>
            <c:v>Rn Wm-2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SEB_!$C$5:$C$5</c:f>
              <c:numCache>
                <c:ptCount val="1"/>
                <c:pt idx="0">
                  <c:v>15.333333333333334</c:v>
                </c:pt>
              </c:numCache>
            </c:numRef>
          </c:xVal>
          <c:yVal>
            <c:numRef>
              <c:f>'calibrated data'!$F$5:$F$5</c:f>
              <c:numCache>
                <c:ptCount val="1"/>
                <c:pt idx="0">
                  <c:v>138.85906040268455</c:v>
                </c:pt>
              </c:numCache>
            </c:numRef>
          </c:yVal>
          <c:smooth val="1"/>
        </c:ser>
        <c:axId val="13290117"/>
        <c:axId val="52502190"/>
      </c:scatterChart>
      <c:valAx>
        <c:axId val="13290117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of day (hrs)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502190"/>
        <c:crossesAt val="-400"/>
        <c:crossBetween val="midCat"/>
        <c:dispUnits/>
        <c:majorUnit val="1"/>
      </c:valAx>
      <c:valAx>
        <c:axId val="52502190"/>
        <c:scaling>
          <c:orientation val="minMax"/>
          <c:max val="800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Energy Flux (Wm</a:t>
                </a:r>
                <a:r>
                  <a:rPr lang="en-US" cap="none" sz="1000" b="1" i="0" u="none" baseline="30000"/>
                  <a:t>-2</a:t>
                </a:r>
                <a:r>
                  <a:rPr lang="en-US" cap="none" sz="10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3290117"/>
        <c:crosses val="autoZero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14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Tenerife Field Trip Data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Tenerife Field Trip Data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&amp;CTenerife Field Trip Data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ToFit="1"/>
  </sheetViews>
  <pageMargins left="0.75" right="0.75" top="1" bottom="1" header="0.5" footer="0.5"/>
  <pageSetup horizontalDpi="600" verticalDpi="600" orientation="landscape" paperSize="9"/>
  <headerFooter>
    <oddHeader>Tenerife Field Trip Data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0.43875</cdr:x>
      <cdr:y>0.05325</cdr:y>
    </cdr:from>
    <cdr:to>
      <cdr:x>0.54</cdr:x>
      <cdr:y>0.09375</cdr:y>
    </cdr:to>
    <cdr:sp>
      <cdr:nvSpPr>
        <cdr:cNvPr id="1" name="TextBox 1"/>
        <cdr:cNvSpPr txBox="1">
          <a:spLocks noChangeArrowheads="1"/>
        </cdr:cNvSpPr>
      </cdr:nvSpPr>
      <cdr:spPr>
        <a:xfrm>
          <a:off x="6600825" y="514350"/>
          <a:ext cx="15240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75" b="1" i="0" u="none" baseline="0"/>
            <a:t>Day $day()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59025" cy="9734550"/>
    <xdr:graphicFrame>
      <xdr:nvGraphicFramePr>
        <xdr:cNvPr id="1" name="Shape 1025"/>
        <xdr:cNvGraphicFramePr/>
      </xdr:nvGraphicFramePr>
      <xdr:xfrm>
        <a:off x="0" y="0"/>
        <a:ext cx="15059025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0.12925</cdr:y>
    </cdr:from>
    <cdr:to>
      <cdr:x>0.11775</cdr:x>
      <cdr:y>0.147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1257300"/>
          <a:ext cx="10858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Mean temp: $mean(T)</a:t>
          </a:r>
        </a:p>
      </cdr:txBody>
    </cdr:sp>
  </cdr:relSizeAnchor>
  <cdr:relSizeAnchor xmlns:cdr="http://schemas.openxmlformats.org/drawingml/2006/chartDrawing">
    <cdr:from>
      <cdr:x>0.43975</cdr:x>
      <cdr:y>0.0515</cdr:y>
    </cdr:from>
    <cdr:to>
      <cdr:x>0.541</cdr:x>
      <cdr:y>0.092</cdr:y>
    </cdr:to>
    <cdr:sp>
      <cdr:nvSpPr>
        <cdr:cNvPr id="2" name="TextBox 2"/>
        <cdr:cNvSpPr txBox="1">
          <a:spLocks noChangeArrowheads="1"/>
        </cdr:cNvSpPr>
      </cdr:nvSpPr>
      <cdr:spPr>
        <a:xfrm>
          <a:off x="6619875" y="495300"/>
          <a:ext cx="15240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75" b="1" i="0" u="none" baseline="0"/>
            <a:t>Day $day()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59025" cy="9734550"/>
    <xdr:graphicFrame>
      <xdr:nvGraphicFramePr>
        <xdr:cNvPr id="1" name="Shape 1025"/>
        <xdr:cNvGraphicFramePr/>
      </xdr:nvGraphicFramePr>
      <xdr:xfrm>
        <a:off x="0" y="0"/>
        <a:ext cx="15059025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</cdr:x>
      <cdr:y>0.05325</cdr:y>
    </cdr:from>
    <cdr:to>
      <cdr:x>0.53325</cdr:x>
      <cdr:y>0.09375</cdr:y>
    </cdr:to>
    <cdr:sp>
      <cdr:nvSpPr>
        <cdr:cNvPr id="1" name="TextBox 1"/>
        <cdr:cNvSpPr txBox="1">
          <a:spLocks noChangeArrowheads="1"/>
        </cdr:cNvSpPr>
      </cdr:nvSpPr>
      <cdr:spPr>
        <a:xfrm>
          <a:off x="6581775" y="514350"/>
          <a:ext cx="15240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200" b="1" i="0" u="none" baseline="0"/>
            <a:t>Day $day()</a:t>
          </a:r>
        </a:p>
      </cdr:txBody>
    </cdr:sp>
  </cdr:relSizeAnchor>
  <cdr:relSizeAnchor xmlns:cdr="http://schemas.openxmlformats.org/drawingml/2006/chartDrawing">
    <cdr:from>
      <cdr:x>0.0465</cdr:x>
      <cdr:y>0.175</cdr:y>
    </cdr:from>
    <cdr:to>
      <cdr:x>0.1185</cdr:x>
      <cdr:y>0.19275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1695450"/>
          <a:ext cx="10953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Max gust: $max(umax)</a:t>
          </a:r>
        </a:p>
      </cdr:txBody>
    </cdr:sp>
  </cdr:relSizeAnchor>
  <cdr:relSizeAnchor xmlns:cdr="http://schemas.openxmlformats.org/drawingml/2006/chartDrawing">
    <cdr:from>
      <cdr:x>0.0465</cdr:x>
      <cdr:y>0.1355</cdr:y>
    </cdr:from>
    <cdr:to>
      <cdr:x>0.1165</cdr:x>
      <cdr:y>0.15325</cdr:y>
    </cdr:to>
    <cdr:sp>
      <cdr:nvSpPr>
        <cdr:cNvPr id="3" name="TextBox 3"/>
        <cdr:cNvSpPr txBox="1">
          <a:spLocks noChangeArrowheads="1"/>
        </cdr:cNvSpPr>
      </cdr:nvSpPr>
      <cdr:spPr>
        <a:xfrm>
          <a:off x="704850" y="1314450"/>
          <a:ext cx="1066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Mean speed: $mean(u)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9734550"/>
    <xdr:graphicFrame>
      <xdr:nvGraphicFramePr>
        <xdr:cNvPr id="1" name="Shape 1025"/>
        <xdr:cNvGraphicFramePr/>
      </xdr:nvGraphicFramePr>
      <xdr:xfrm>
        <a:off x="0" y="0"/>
        <a:ext cx="152019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0.43325</cdr:x>
      <cdr:y>0.0475</cdr:y>
    </cdr:from>
    <cdr:to>
      <cdr:x>0.5345</cdr:x>
      <cdr:y>0.088</cdr:y>
    </cdr:to>
    <cdr:sp>
      <cdr:nvSpPr>
        <cdr:cNvPr id="1" name="TextBox 2"/>
        <cdr:cNvSpPr txBox="1">
          <a:spLocks noChangeArrowheads="1"/>
        </cdr:cNvSpPr>
      </cdr:nvSpPr>
      <cdr:spPr>
        <a:xfrm>
          <a:off x="6515100" y="457200"/>
          <a:ext cx="15240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175" b="1" i="0" u="none" baseline="0"/>
            <a:t>Day $day()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059025" cy="9734550"/>
    <xdr:graphicFrame>
      <xdr:nvGraphicFramePr>
        <xdr:cNvPr id="1" name="Shape 1025"/>
        <xdr:cNvGraphicFramePr/>
      </xdr:nvGraphicFramePr>
      <xdr:xfrm>
        <a:off x="0" y="0"/>
        <a:ext cx="15059025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D142"/>
  <sheetViews>
    <sheetView tabSelected="1" workbookViewId="0" topLeftCell="A1">
      <selection activeCell="A1" sqref="A1:AD142"/>
    </sheetView>
  </sheetViews>
  <sheetFormatPr defaultColWidth="9.33203125" defaultRowHeight="12.75"/>
  <cols>
    <col min="3" max="3" width="6.33203125" style="0" customWidth="1"/>
    <col min="4" max="4" width="13.5" style="0" customWidth="1"/>
    <col min="9" max="9" width="3.66015625" style="0" customWidth="1"/>
    <col min="13" max="13" width="9.5" style="0" customWidth="1"/>
  </cols>
  <sheetData>
    <row r="1" spans="1:30" ht="12.7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 ht="12.7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30" ht="12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</row>
    <row r="4" spans="1:30" ht="12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</row>
    <row r="5" spans="1:30" ht="12.7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</row>
    <row r="6" spans="1:30" ht="12.7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</row>
    <row r="7" spans="1:30" ht="12.7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</row>
    <row r="8" spans="1:30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</row>
    <row r="9" spans="1:30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1:30" ht="12.75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</row>
    <row r="11" spans="1:30" ht="12.7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</row>
    <row r="12" spans="1:30" ht="12.7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</row>
    <row r="13" spans="1:30" ht="12.7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</row>
    <row r="14" spans="1:30" ht="12.7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</row>
    <row r="15" spans="1:30" ht="12.7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</row>
    <row r="16" spans="1:30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</row>
    <row r="17" spans="1:30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</row>
    <row r="18" spans="1:30" ht="12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</row>
    <row r="19" spans="1:30" ht="12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</row>
    <row r="20" spans="1:30" ht="12.7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</row>
    <row r="21" spans="1:30" ht="12.7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</row>
    <row r="22" spans="1:30" ht="12.7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</row>
    <row r="23" spans="1:30" ht="12.7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</row>
    <row r="24" spans="1:30" ht="12.75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</row>
    <row r="25" spans="1:30" ht="12.75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</row>
    <row r="26" spans="1:30" ht="12.75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</row>
    <row r="27" spans="1:30" ht="12.7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</row>
    <row r="28" spans="1:30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</row>
    <row r="29" spans="1:30" ht="12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</row>
    <row r="30" spans="1:30" ht="12.7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</row>
    <row r="31" spans="1:30" ht="12" customHeight="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</row>
    <row r="32" spans="1:30" ht="12.75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</row>
    <row r="33" spans="1:30" ht="18.75" customHeight="1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</row>
    <row r="34" spans="1:30" ht="14.2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</row>
    <row r="35" spans="1:30" ht="12.7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</row>
    <row r="36" spans="1:30" ht="12.7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</row>
    <row r="37" spans="1:30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</row>
    <row r="38" spans="1:30" ht="12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</row>
    <row r="39" spans="1:30" ht="12.7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</row>
    <row r="40" spans="1:30" ht="12.7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</row>
    <row r="41" spans="1:30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</row>
    <row r="42" spans="1:30" ht="12.75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</row>
    <row r="43" spans="1:30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</row>
    <row r="44" spans="1:30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</row>
    <row r="45" spans="1:30" ht="12.75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</row>
    <row r="46" spans="1:30" ht="12.7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</row>
    <row r="47" spans="1:30" ht="12.7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</row>
    <row r="48" spans="1:30" ht="12.7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</row>
    <row r="49" spans="1:30" ht="12.7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</row>
    <row r="50" spans="1:30" ht="12.7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</row>
    <row r="51" spans="1:30" ht="12.75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</row>
    <row r="52" spans="1:30" ht="12.75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</row>
    <row r="53" spans="1:30" ht="12.75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</row>
    <row r="54" spans="1:30" ht="12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</row>
    <row r="55" spans="1:30" ht="12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</row>
    <row r="56" spans="1:30" ht="12.75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</row>
    <row r="57" spans="1:30" ht="12.75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</row>
    <row r="58" spans="1:30" ht="12.7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</row>
    <row r="59" spans="1:30" ht="12.75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</row>
    <row r="60" spans="1:30" ht="12.75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</row>
    <row r="61" spans="1:30" ht="12.75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</row>
    <row r="62" spans="1:30" ht="12.75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</row>
    <row r="63" spans="1:30" ht="12.75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</row>
    <row r="64" spans="1:30" ht="12.75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</row>
    <row r="65" spans="1:30" ht="12.7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</row>
    <row r="66" spans="1:30" ht="12.75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</row>
    <row r="67" spans="1:30" ht="12.75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</row>
    <row r="68" spans="1:30" ht="12.75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</row>
    <row r="69" spans="1:30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</row>
    <row r="70" spans="1:30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</row>
    <row r="71" spans="1:30" ht="12.7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</row>
    <row r="72" spans="1:30" ht="12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</row>
    <row r="73" spans="1:30" ht="12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</row>
    <row r="74" spans="1:30" ht="12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</row>
    <row r="75" spans="1:30" ht="12.7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</row>
    <row r="76" spans="1:30" ht="12.7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</row>
    <row r="77" spans="1:30" ht="12.7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</row>
    <row r="78" spans="1:30" ht="12.7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</row>
    <row r="79" spans="1:30" ht="12.7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</row>
    <row r="80" spans="1:30" ht="12.7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</row>
    <row r="81" spans="1:30" ht="12.7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</row>
    <row r="82" spans="1:30" ht="12.7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</row>
    <row r="83" spans="1:30" ht="12.7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</row>
    <row r="84" spans="1:30" ht="12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</row>
    <row r="85" spans="1:30" ht="12.7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</row>
    <row r="86" spans="1:30" ht="12.75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</row>
    <row r="87" spans="1:30" ht="12.75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</row>
    <row r="88" spans="1:30" ht="12.75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</row>
    <row r="89" spans="1:30" ht="12.7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</row>
    <row r="90" spans="1:30" ht="12.7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</row>
    <row r="91" spans="1:30" ht="12.7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</row>
    <row r="92" spans="1:30" ht="12.7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</row>
    <row r="93" spans="1:30" ht="12.7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</row>
    <row r="94" spans="1:30" ht="12.7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</row>
    <row r="95" spans="1:30" ht="12.7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</row>
    <row r="96" spans="1:30" ht="12.7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</row>
    <row r="97" spans="1:30" ht="12.7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</row>
    <row r="98" spans="1:30" ht="12.7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</row>
    <row r="99" spans="1:30" ht="12.7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</row>
    <row r="100" spans="1:30" ht="12.7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</row>
    <row r="101" spans="1:30" ht="12.7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</row>
    <row r="102" spans="1:30" ht="12.7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</row>
    <row r="103" spans="1:30" ht="12.7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</row>
    <row r="104" spans="1:30" ht="12.7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</row>
    <row r="105" spans="1:30" ht="12.7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</row>
    <row r="106" spans="1:30" ht="12.7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</row>
    <row r="107" spans="1:30" ht="12.7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</row>
    <row r="108" spans="1:30" ht="12.7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</row>
    <row r="109" spans="1:30" ht="12.7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</row>
    <row r="110" spans="1:30" ht="12.7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</row>
    <row r="111" spans="1:30" ht="12.7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</row>
    <row r="112" spans="1:30" ht="12.7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</row>
    <row r="113" spans="1:30" ht="12.7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</row>
    <row r="114" spans="1:30" ht="12.7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</row>
    <row r="115" spans="1:30" ht="12.7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</row>
    <row r="116" spans="1:30" ht="12.7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</row>
    <row r="117" spans="1:30" ht="12.7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</row>
    <row r="118" spans="1:30" ht="12.7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</row>
    <row r="119" spans="1:30" ht="12.7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</row>
    <row r="120" spans="1:30" ht="12.7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</row>
    <row r="121" spans="1:30" ht="12.7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</row>
    <row r="122" spans="1:30" ht="12.7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</row>
    <row r="123" spans="1:30" ht="12.7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</row>
    <row r="124" spans="1:30" ht="12.7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</row>
    <row r="125" spans="1:30" ht="12.7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</row>
    <row r="126" spans="1:30" ht="12.7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</row>
    <row r="127" spans="1:30" ht="12.7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</row>
    <row r="128" spans="1:30" ht="12.7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</row>
    <row r="129" spans="1:30" ht="12.7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</row>
    <row r="130" spans="1:30" ht="12.7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</row>
    <row r="131" spans="1:30" ht="12.7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</row>
    <row r="132" spans="1:30" ht="12.7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</row>
    <row r="133" spans="1:30" ht="12.7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</row>
    <row r="134" spans="1:30" ht="12.7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</row>
    <row r="135" spans="1:30" ht="12.7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</row>
    <row r="136" spans="1:30" ht="12.7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</row>
    <row r="137" spans="1:30" ht="12.7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</row>
    <row r="138" spans="1:30" ht="12.7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</row>
    <row r="139" spans="1:30" ht="12.7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</row>
    <row r="140" spans="1:30" ht="12.7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</row>
    <row r="141" spans="1:30" ht="12.7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</row>
    <row r="142" spans="1:30" ht="12.7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</row>
  </sheetData>
  <mergeCells count="1">
    <mergeCell ref="A1:AD142"/>
  </mergeCells>
  <printOptions/>
  <pageMargins left="0.75" right="0.75" top="1" bottom="1" header="0.5" footer="0.5"/>
  <pageSetup horizontalDpi="200" verticalDpi="200" orientation="portrait" r:id="rId3"/>
  <legacyDrawing r:id="rId2"/>
  <oleObjects>
    <oleObject progId="Word.Document.8" shapeId="1675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5"/>
  <sheetViews>
    <sheetView workbookViewId="0" topLeftCell="A1">
      <selection activeCell="A5" sqref="A5"/>
    </sheetView>
  </sheetViews>
  <sheetFormatPr defaultColWidth="9.33203125" defaultRowHeight="12.75"/>
  <cols>
    <col min="1" max="1" width="8.16015625" style="12" bestFit="1" customWidth="1"/>
    <col min="2" max="2" width="5.83203125" style="12" bestFit="1" customWidth="1"/>
    <col min="3" max="7" width="6.16015625" style="23" bestFit="1" customWidth="1"/>
    <col min="8" max="8" width="7.16015625" style="12" bestFit="1" customWidth="1"/>
    <col min="9" max="9" width="5.33203125" style="12" bestFit="1" customWidth="1"/>
    <col min="10" max="10" width="7.16015625" style="12" bestFit="1" customWidth="1"/>
    <col min="12" max="12" width="9.33203125" style="5" customWidth="1"/>
  </cols>
  <sheetData>
    <row r="1" spans="1:10" ht="20.25">
      <c r="A1" s="73" t="s">
        <v>73</v>
      </c>
      <c r="B1" s="74"/>
      <c r="C1" s="74"/>
      <c r="D1" s="74"/>
      <c r="E1" s="74"/>
      <c r="F1" s="74"/>
      <c r="G1" s="74"/>
      <c r="H1" s="74"/>
      <c r="I1" s="74"/>
      <c r="J1" s="74"/>
    </row>
    <row r="2" spans="4:7" ht="9.75" customHeight="1" thickBot="1">
      <c r="D2" s="43"/>
      <c r="E2" s="44"/>
      <c r="F2" s="44"/>
      <c r="G2" s="44"/>
    </row>
    <row r="3" spans="1:16" ht="18" customHeight="1" thickBot="1">
      <c r="A3" s="45" t="s">
        <v>0</v>
      </c>
      <c r="B3" s="45" t="s">
        <v>1</v>
      </c>
      <c r="C3" s="47" t="s">
        <v>103</v>
      </c>
      <c r="D3" s="47" t="s">
        <v>104</v>
      </c>
      <c r="E3" s="47" t="s">
        <v>2</v>
      </c>
      <c r="F3" s="47" t="s">
        <v>3</v>
      </c>
      <c r="G3" s="47" t="s">
        <v>4</v>
      </c>
      <c r="H3" s="54" t="s">
        <v>5</v>
      </c>
      <c r="I3" s="55" t="s">
        <v>6</v>
      </c>
      <c r="J3" s="48" t="s">
        <v>105</v>
      </c>
      <c r="P3" s="1"/>
    </row>
    <row r="4" spans="1:10" ht="18" customHeight="1" thickBot="1">
      <c r="A4" s="45" t="s">
        <v>71</v>
      </c>
      <c r="B4" s="45" t="s">
        <v>7</v>
      </c>
      <c r="C4" s="51" t="s">
        <v>8</v>
      </c>
      <c r="D4" s="51" t="s">
        <v>8</v>
      </c>
      <c r="E4" s="51" t="s">
        <v>8</v>
      </c>
      <c r="F4" s="51" t="s">
        <v>8</v>
      </c>
      <c r="G4" s="51" t="s">
        <v>8</v>
      </c>
      <c r="H4" s="45" t="s">
        <v>9</v>
      </c>
      <c r="I4" s="51" t="s">
        <v>8</v>
      </c>
      <c r="J4" s="56" t="s">
        <v>9</v>
      </c>
    </row>
    <row r="5" spans="1:12" ht="12.75">
      <c r="A5">
        <v>78</v>
      </c>
      <c r="B5">
        <v>1520</v>
      </c>
      <c r="C5">
        <v>4.914</v>
      </c>
      <c r="D5">
        <v>2.069</v>
      </c>
      <c r="E5">
        <v>0.722</v>
      </c>
      <c r="F5">
        <v>310.1</v>
      </c>
      <c r="G5">
        <v>534.7</v>
      </c>
      <c r="H5">
        <v>64.98</v>
      </c>
      <c r="I5">
        <v>1245</v>
      </c>
      <c r="J5">
        <v>87</v>
      </c>
      <c r="K5" s="3"/>
      <c r="L5"/>
    </row>
  </sheetData>
  <mergeCells count="1">
    <mergeCell ref="A1:J1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V11"/>
  <sheetViews>
    <sheetView workbookViewId="0" topLeftCell="A1">
      <selection activeCell="P19" sqref="P19:Q19"/>
    </sheetView>
  </sheetViews>
  <sheetFormatPr defaultColWidth="9.33203125" defaultRowHeight="12.75"/>
  <cols>
    <col min="1" max="1" width="8.16015625" style="13" bestFit="1" customWidth="1"/>
    <col min="2" max="2" width="5.83203125" style="13" bestFit="1" customWidth="1"/>
    <col min="3" max="3" width="9.16015625" style="13" bestFit="1" customWidth="1"/>
    <col min="4" max="4" width="8.16015625" style="13" bestFit="1" customWidth="1"/>
    <col min="5" max="6" width="6.66015625" style="27" bestFit="1" customWidth="1"/>
    <col min="7" max="8" width="6.33203125" style="27" bestFit="1" customWidth="1"/>
    <col min="9" max="9" width="5.66015625" style="27" bestFit="1" customWidth="1"/>
    <col min="10" max="10" width="5.16015625" style="27" bestFit="1" customWidth="1"/>
    <col min="11" max="11" width="6" style="28" bestFit="1" customWidth="1"/>
    <col min="12" max="12" width="5.33203125" style="13" bestFit="1" customWidth="1"/>
    <col min="13" max="13" width="1.83203125" style="1" customWidth="1"/>
    <col min="14" max="14" width="15.66015625" style="1" bestFit="1" customWidth="1"/>
    <col min="15" max="15" width="7.83203125" style="13" bestFit="1" customWidth="1"/>
    <col min="16" max="16" width="13.66015625" style="41" bestFit="1" customWidth="1"/>
    <col min="17" max="17" width="8.83203125" style="1" bestFit="1" customWidth="1"/>
    <col min="18" max="18" width="6.16015625" style="1" bestFit="1" customWidth="1"/>
    <col min="19" max="19" width="9.66015625" style="1" bestFit="1" customWidth="1"/>
    <col min="20" max="20" width="6.66015625" style="1" bestFit="1" customWidth="1"/>
    <col min="21" max="21" width="3.66015625" style="1" bestFit="1" customWidth="1"/>
    <col min="22" max="16384" width="8.83203125" style="1" customWidth="1"/>
  </cols>
  <sheetData>
    <row r="1" spans="1:16" ht="19.5" customHeight="1">
      <c r="A1" s="73" t="s">
        <v>74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O1" s="12"/>
      <c r="P1" s="40"/>
    </row>
    <row r="2" spans="5:12" ht="9.75" customHeight="1" thickBot="1">
      <c r="E2" s="23"/>
      <c r="F2" s="23"/>
      <c r="G2" s="23"/>
      <c r="H2" s="23"/>
      <c r="I2" s="23"/>
      <c r="J2" s="23"/>
      <c r="K2" s="26"/>
      <c r="L2" s="12"/>
    </row>
    <row r="3" spans="1:21" ht="18" customHeight="1" thickBot="1">
      <c r="A3" s="45" t="s">
        <v>0</v>
      </c>
      <c r="B3" s="45" t="s">
        <v>1</v>
      </c>
      <c r="C3" s="45" t="s">
        <v>13</v>
      </c>
      <c r="D3" s="45" t="s">
        <v>70</v>
      </c>
      <c r="E3" s="46" t="s">
        <v>103</v>
      </c>
      <c r="F3" s="47" t="s">
        <v>104</v>
      </c>
      <c r="G3" s="48" t="s">
        <v>2</v>
      </c>
      <c r="H3" s="48" t="s">
        <v>3</v>
      </c>
      <c r="I3" s="48" t="s">
        <v>4</v>
      </c>
      <c r="J3" s="48" t="s">
        <v>5</v>
      </c>
      <c r="K3" s="48" t="s">
        <v>105</v>
      </c>
      <c r="L3" s="49" t="s">
        <v>6</v>
      </c>
      <c r="M3" s="10"/>
      <c r="N3" s="82" t="s">
        <v>10</v>
      </c>
      <c r="O3" s="83"/>
      <c r="P3" s="75" t="s">
        <v>12</v>
      </c>
      <c r="Q3" s="77"/>
      <c r="R3" s="75" t="s">
        <v>95</v>
      </c>
      <c r="S3" s="76"/>
      <c r="T3" s="76"/>
      <c r="U3" s="77"/>
    </row>
    <row r="4" spans="1:21" ht="18" customHeight="1" thickBot="1">
      <c r="A4" s="45" t="s">
        <v>71</v>
      </c>
      <c r="B4" s="45" t="s">
        <v>7</v>
      </c>
      <c r="C4" s="45" t="s">
        <v>16</v>
      </c>
      <c r="D4" s="45" t="s">
        <v>71</v>
      </c>
      <c r="E4" s="50" t="s">
        <v>106</v>
      </c>
      <c r="F4" s="51" t="s">
        <v>106</v>
      </c>
      <c r="G4" s="51" t="s">
        <v>107</v>
      </c>
      <c r="H4" s="51" t="s">
        <v>18</v>
      </c>
      <c r="I4" s="51" t="s">
        <v>19</v>
      </c>
      <c r="J4" s="51" t="s">
        <v>108</v>
      </c>
      <c r="K4" s="51" t="s">
        <v>108</v>
      </c>
      <c r="L4" s="52" t="s">
        <v>21</v>
      </c>
      <c r="M4" s="10"/>
      <c r="N4" s="33" t="s">
        <v>39</v>
      </c>
      <c r="O4" s="30" t="s">
        <v>11</v>
      </c>
      <c r="P4" s="32" t="s">
        <v>93</v>
      </c>
      <c r="Q4" s="33" t="s">
        <v>102</v>
      </c>
      <c r="R4" s="79" t="s">
        <v>14</v>
      </c>
      <c r="S4" s="80"/>
      <c r="T4" s="79" t="s">
        <v>15</v>
      </c>
      <c r="U4" s="81"/>
    </row>
    <row r="5" spans="1:21" ht="15">
      <c r="A5" s="13">
        <f>'raw data'!A5</f>
        <v>78</v>
      </c>
      <c r="B5" s="13">
        <f>'raw data'!B5</f>
        <v>1520</v>
      </c>
      <c r="C5" s="23">
        <f>IF(B5=0,0,(MOD(B5,100)/60+INT(B5/100))+(A5-A5)*24)</f>
        <v>15.333333333333334</v>
      </c>
      <c r="D5" s="23">
        <f>A5+(C5/24)</f>
        <v>78.63888888888889</v>
      </c>
      <c r="E5" s="23">
        <f>('raw data'!C5)*1000/$R$5</f>
        <v>486.53465346534654</v>
      </c>
      <c r="F5" s="23">
        <f>('raw data'!D5)*1000/$R$6</f>
        <v>138.85906040268455</v>
      </c>
      <c r="G5" s="23">
        <f>('raw data'!E5)*1000/$R$7</f>
        <v>34.38095238095238</v>
      </c>
      <c r="H5" s="23">
        <f>(('raw data'!F5)-$T$8)/$R$8</f>
        <v>-8.989999999999998</v>
      </c>
      <c r="I5" s="23">
        <f>('raw data'!G5)/$R$9</f>
        <v>53.470000000000006</v>
      </c>
      <c r="J5" s="23">
        <f>'raw data'!H5/$R$10</f>
        <v>1.2996</v>
      </c>
      <c r="K5" s="23">
        <f>'raw data'!J5/$R$10</f>
        <v>1.74</v>
      </c>
      <c r="L5" s="26">
        <f>('raw data'!I5-$T$11)/$R$11</f>
        <v>209</v>
      </c>
      <c r="M5" s="6"/>
      <c r="N5" s="31" t="s">
        <v>22</v>
      </c>
      <c r="O5" s="34" t="s">
        <v>98</v>
      </c>
      <c r="P5" s="42" t="s">
        <v>23</v>
      </c>
      <c r="Q5" s="35" t="s">
        <v>24</v>
      </c>
      <c r="R5" s="36">
        <v>10.1</v>
      </c>
      <c r="S5" s="37" t="s">
        <v>25</v>
      </c>
      <c r="T5" s="31"/>
      <c r="U5" s="31"/>
    </row>
    <row r="6" spans="13:22" ht="15">
      <c r="M6" s="6"/>
      <c r="N6" s="31" t="s">
        <v>26</v>
      </c>
      <c r="O6" s="34" t="s">
        <v>99</v>
      </c>
      <c r="P6" s="42" t="s">
        <v>27</v>
      </c>
      <c r="Q6" s="31" t="s">
        <v>28</v>
      </c>
      <c r="R6" s="36">
        <v>14.9</v>
      </c>
      <c r="S6" s="37" t="s">
        <v>25</v>
      </c>
      <c r="T6" s="31"/>
      <c r="U6" s="31"/>
      <c r="V6" s="8"/>
    </row>
    <row r="7" spans="13:22" ht="12.75">
      <c r="M7" s="6"/>
      <c r="N7" s="31" t="s">
        <v>29</v>
      </c>
      <c r="O7" s="34" t="s">
        <v>2</v>
      </c>
      <c r="P7" s="42" t="s">
        <v>27</v>
      </c>
      <c r="Q7" s="31" t="s">
        <v>30</v>
      </c>
      <c r="R7" s="36">
        <v>21</v>
      </c>
      <c r="S7" s="37" t="s">
        <v>25</v>
      </c>
      <c r="T7" s="31"/>
      <c r="U7" s="38"/>
      <c r="V7" s="9"/>
    </row>
    <row r="8" spans="13:22" ht="12.75">
      <c r="M8" s="6"/>
      <c r="N8" s="31" t="s">
        <v>97</v>
      </c>
      <c r="O8" s="34" t="s">
        <v>3</v>
      </c>
      <c r="P8" s="42" t="s">
        <v>100</v>
      </c>
      <c r="Q8" s="31"/>
      <c r="R8" s="36">
        <f>10</f>
        <v>10</v>
      </c>
      <c r="S8" s="37" t="s">
        <v>31</v>
      </c>
      <c r="T8" s="36">
        <v>400</v>
      </c>
      <c r="U8" s="39" t="s">
        <v>32</v>
      </c>
      <c r="V8" s="8"/>
    </row>
    <row r="9" spans="13:22" ht="12.75">
      <c r="M9" s="6"/>
      <c r="N9" s="31" t="s">
        <v>33</v>
      </c>
      <c r="O9" s="34" t="s">
        <v>4</v>
      </c>
      <c r="P9" s="42" t="s">
        <v>100</v>
      </c>
      <c r="Q9" s="31"/>
      <c r="R9" s="36">
        <v>10</v>
      </c>
      <c r="S9" s="37" t="s">
        <v>34</v>
      </c>
      <c r="T9" s="31"/>
      <c r="U9" s="38"/>
      <c r="V9" s="8"/>
    </row>
    <row r="10" spans="13:22" ht="12.75">
      <c r="M10" s="6"/>
      <c r="N10" s="31" t="s">
        <v>91</v>
      </c>
      <c r="O10" s="34" t="s">
        <v>5</v>
      </c>
      <c r="P10" s="42" t="s">
        <v>101</v>
      </c>
      <c r="Q10" s="31"/>
      <c r="R10" s="36">
        <v>50</v>
      </c>
      <c r="S10" s="37" t="s">
        <v>35</v>
      </c>
      <c r="T10" s="31"/>
      <c r="U10" s="38"/>
      <c r="V10" s="8"/>
    </row>
    <row r="11" spans="14:21" ht="12.75">
      <c r="N11" s="31" t="s">
        <v>92</v>
      </c>
      <c r="O11" s="34" t="s">
        <v>6</v>
      </c>
      <c r="P11" s="42" t="s">
        <v>94</v>
      </c>
      <c r="Q11" s="31"/>
      <c r="R11" s="36">
        <v>5</v>
      </c>
      <c r="S11" s="37" t="s">
        <v>36</v>
      </c>
      <c r="T11" s="29">
        <v>200</v>
      </c>
      <c r="U11" s="39" t="s">
        <v>32</v>
      </c>
    </row>
  </sheetData>
  <mergeCells count="6">
    <mergeCell ref="R3:U3"/>
    <mergeCell ref="P3:Q3"/>
    <mergeCell ref="A1:L1"/>
    <mergeCell ref="R4:S4"/>
    <mergeCell ref="T4:U4"/>
    <mergeCell ref="N3:O3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23"/>
  <sheetViews>
    <sheetView workbookViewId="0" topLeftCell="A1">
      <selection activeCell="Q4" sqref="Q4"/>
    </sheetView>
  </sheetViews>
  <sheetFormatPr defaultColWidth="9.33203125" defaultRowHeight="12.75" customHeight="1"/>
  <cols>
    <col min="1" max="1" width="8.16015625" style="12" bestFit="1" customWidth="1"/>
    <col min="2" max="2" width="5.83203125" style="12" bestFit="1" customWidth="1"/>
    <col min="3" max="3" width="9.16015625" style="23" bestFit="1" customWidth="1"/>
    <col min="4" max="4" width="8.16015625" style="23" bestFit="1" customWidth="1"/>
    <col min="5" max="5" width="4.66015625" style="23" bestFit="1" customWidth="1"/>
    <col min="6" max="6" width="8.16015625" style="23" bestFit="1" customWidth="1"/>
    <col min="7" max="7" width="4.66015625" style="23" bestFit="1" customWidth="1"/>
    <col min="8" max="8" width="6.33203125" style="23" bestFit="1" customWidth="1"/>
    <col min="9" max="9" width="6.16015625" style="23" bestFit="1" customWidth="1"/>
    <col min="10" max="10" width="2.16015625" style="0" customWidth="1"/>
    <col min="11" max="11" width="27.16015625" style="0" bestFit="1" customWidth="1"/>
    <col min="12" max="12" width="7.83203125" style="12" bestFit="1" customWidth="1"/>
    <col min="13" max="14" width="9.83203125" style="0" bestFit="1" customWidth="1"/>
  </cols>
  <sheetData>
    <row r="1" spans="1:9" ht="20.25" customHeight="1">
      <c r="A1" s="84" t="s">
        <v>75</v>
      </c>
      <c r="B1" s="78"/>
      <c r="C1" s="78"/>
      <c r="D1" s="78"/>
      <c r="E1" s="78"/>
      <c r="F1" s="78"/>
      <c r="G1" s="78"/>
      <c r="H1" s="78"/>
      <c r="I1" s="78"/>
    </row>
    <row r="2" ht="9.75" customHeight="1" thickBot="1"/>
    <row r="3" spans="1:14" ht="18" customHeight="1" thickBot="1">
      <c r="A3" s="45" t="s">
        <v>0</v>
      </c>
      <c r="B3" s="45" t="s">
        <v>1</v>
      </c>
      <c r="C3" s="51" t="s">
        <v>13</v>
      </c>
      <c r="D3" s="51" t="s">
        <v>70</v>
      </c>
      <c r="E3" s="48" t="s">
        <v>109</v>
      </c>
      <c r="F3" s="51" t="s">
        <v>110</v>
      </c>
      <c r="G3" s="48" t="s">
        <v>37</v>
      </c>
      <c r="H3" s="48" t="s">
        <v>111</v>
      </c>
      <c r="I3" s="48" t="s">
        <v>38</v>
      </c>
      <c r="J3" s="2"/>
      <c r="K3" s="69" t="s">
        <v>39</v>
      </c>
      <c r="L3" s="70" t="s">
        <v>11</v>
      </c>
      <c r="M3" s="69" t="s">
        <v>96</v>
      </c>
      <c r="N3" s="71" t="s">
        <v>40</v>
      </c>
    </row>
    <row r="4" spans="1:15" ht="18" customHeight="1" thickBot="1">
      <c r="A4" s="51" t="s">
        <v>71</v>
      </c>
      <c r="B4" s="45" t="s">
        <v>7</v>
      </c>
      <c r="C4" s="51" t="s">
        <v>16</v>
      </c>
      <c r="D4" s="51" t="s">
        <v>71</v>
      </c>
      <c r="E4" s="51" t="s">
        <v>41</v>
      </c>
      <c r="F4" s="51" t="s">
        <v>112</v>
      </c>
      <c r="G4" s="51" t="s">
        <v>41</v>
      </c>
      <c r="H4" s="53" t="s">
        <v>113</v>
      </c>
      <c r="I4" s="51" t="s">
        <v>114</v>
      </c>
      <c r="J4" s="2"/>
      <c r="K4" s="57" t="s">
        <v>42</v>
      </c>
      <c r="L4" s="62" t="s">
        <v>43</v>
      </c>
      <c r="M4" s="11">
        <v>1013</v>
      </c>
      <c r="N4" s="58" t="s">
        <v>41</v>
      </c>
      <c r="O4" s="1"/>
    </row>
    <row r="5" spans="1:15" ht="12.75" customHeight="1">
      <c r="A5" s="12">
        <f>'raw data'!A5</f>
        <v>78</v>
      </c>
      <c r="B5" s="12">
        <f>'raw data'!B5</f>
        <v>1520</v>
      </c>
      <c r="C5" s="23">
        <f>'calibrated data'!C5</f>
        <v>15.333333333333334</v>
      </c>
      <c r="D5" s="23">
        <f>'calibrated data'!D5</f>
        <v>78.63888888888889</v>
      </c>
      <c r="E5" s="23">
        <f>$M$9*EXP($M$13*'calibrated data'!H5/('calibrated data'!H5+$M$14))</f>
        <v>3.0942271521176448</v>
      </c>
      <c r="F5" s="23">
        <f>$M$8*E5/($M$10*('calibrated data'!H5+$M$12)^2)</f>
        <v>0.2354364466880956</v>
      </c>
      <c r="G5" s="23">
        <f>E5*'calibrated data'!I5/100</f>
        <v>1.6544832582373048</v>
      </c>
      <c r="H5" s="23">
        <f>$M$14*LN(G5/$M$9)/($M$13-LN(G5/$M$9))</f>
        <v>-16.68448468522964</v>
      </c>
      <c r="I5" s="23">
        <f>$M$16*G5/($M$4-G5)*1000</f>
        <v>1.0175440238653586</v>
      </c>
      <c r="K5" s="59" t="s">
        <v>44</v>
      </c>
      <c r="L5" s="63" t="s">
        <v>38</v>
      </c>
      <c r="M5" s="15">
        <v>1.2</v>
      </c>
      <c r="N5" s="58" t="s">
        <v>45</v>
      </c>
      <c r="O5" s="1"/>
    </row>
    <row r="6" spans="11:15" ht="12.75" customHeight="1">
      <c r="K6" s="59" t="s">
        <v>77</v>
      </c>
      <c r="L6" s="64" t="s">
        <v>115</v>
      </c>
      <c r="M6" s="11">
        <v>1004</v>
      </c>
      <c r="N6" s="58" t="s">
        <v>46</v>
      </c>
      <c r="O6" s="1"/>
    </row>
    <row r="7" spans="11:14" ht="12.75" customHeight="1">
      <c r="K7" s="60"/>
      <c r="L7" s="65"/>
      <c r="M7" s="60"/>
      <c r="N7" s="60"/>
    </row>
    <row r="8" spans="11:14" ht="12.75" customHeight="1">
      <c r="K8" s="59" t="s">
        <v>78</v>
      </c>
      <c r="L8" s="64" t="s">
        <v>47</v>
      </c>
      <c r="M8" s="16">
        <v>2450000</v>
      </c>
      <c r="N8" s="58" t="s">
        <v>48</v>
      </c>
    </row>
    <row r="9" spans="11:14" ht="12.75" customHeight="1">
      <c r="K9" s="14" t="s">
        <v>79</v>
      </c>
      <c r="L9" s="64" t="s">
        <v>116</v>
      </c>
      <c r="M9" s="15">
        <f>6.107799961</f>
        <v>6.1077999609999996</v>
      </c>
      <c r="N9" s="58" t="s">
        <v>41</v>
      </c>
    </row>
    <row r="10" spans="11:14" ht="12.75" customHeight="1">
      <c r="K10" s="59" t="s">
        <v>80</v>
      </c>
      <c r="L10" s="64" t="s">
        <v>117</v>
      </c>
      <c r="M10" s="11">
        <v>461.4</v>
      </c>
      <c r="N10" s="58" t="s">
        <v>46</v>
      </c>
    </row>
    <row r="11" spans="11:15" ht="12.75" customHeight="1">
      <c r="K11" s="60"/>
      <c r="L11" s="65"/>
      <c r="M11" s="60"/>
      <c r="N11" s="60"/>
      <c r="O11" s="1"/>
    </row>
    <row r="12" spans="11:15" ht="12.75" customHeight="1">
      <c r="K12" s="59" t="s">
        <v>81</v>
      </c>
      <c r="L12" s="64" t="s">
        <v>118</v>
      </c>
      <c r="M12" s="11">
        <v>273.16</v>
      </c>
      <c r="N12" s="58" t="s">
        <v>49</v>
      </c>
      <c r="O12" s="1"/>
    </row>
    <row r="13" spans="11:15" ht="12.75" customHeight="1">
      <c r="K13" s="59" t="s">
        <v>82</v>
      </c>
      <c r="L13" s="64" t="s">
        <v>50</v>
      </c>
      <c r="M13" s="11">
        <v>17.27</v>
      </c>
      <c r="N13" s="58"/>
      <c r="O13" s="1"/>
    </row>
    <row r="14" spans="11:15" ht="12.75" customHeight="1">
      <c r="K14" s="59" t="s">
        <v>83</v>
      </c>
      <c r="L14" s="64" t="s">
        <v>51</v>
      </c>
      <c r="M14" s="11">
        <v>237.3</v>
      </c>
      <c r="N14" s="58" t="s">
        <v>49</v>
      </c>
      <c r="O14" s="1"/>
    </row>
    <row r="15" spans="11:14" ht="12.75" customHeight="1">
      <c r="K15" s="60"/>
      <c r="L15" s="65"/>
      <c r="M15" s="60"/>
      <c r="N15" s="60"/>
    </row>
    <row r="16" spans="11:14" ht="12.75" customHeight="1">
      <c r="K16" s="59" t="s">
        <v>84</v>
      </c>
      <c r="L16" s="66" t="s">
        <v>52</v>
      </c>
      <c r="M16" s="11">
        <v>0.622</v>
      </c>
      <c r="N16" s="58"/>
    </row>
    <row r="17" spans="11:14" ht="12.75" customHeight="1">
      <c r="K17" s="59" t="s">
        <v>85</v>
      </c>
      <c r="L17" s="66" t="s">
        <v>53</v>
      </c>
      <c r="M17" s="15">
        <f>M4*M6/(M8*M16)</f>
        <v>0.6674007480805827</v>
      </c>
      <c r="N17" s="58" t="s">
        <v>54</v>
      </c>
    </row>
    <row r="18" spans="11:14" ht="12.75" customHeight="1">
      <c r="K18" s="60"/>
      <c r="L18" s="67"/>
      <c r="M18" s="60"/>
      <c r="N18" s="60"/>
    </row>
    <row r="19" spans="11:14" ht="12.75" customHeight="1">
      <c r="K19" s="59" t="s">
        <v>86</v>
      </c>
      <c r="L19" s="64" t="s">
        <v>55</v>
      </c>
      <c r="M19" s="11">
        <v>0.41</v>
      </c>
      <c r="N19" s="58"/>
    </row>
    <row r="20" spans="11:14" ht="12.75" customHeight="1">
      <c r="K20" s="59" t="s">
        <v>87</v>
      </c>
      <c r="L20" s="64" t="s">
        <v>119</v>
      </c>
      <c r="M20" s="11">
        <v>0.01</v>
      </c>
      <c r="N20" s="58" t="s">
        <v>56</v>
      </c>
    </row>
    <row r="21" spans="11:14" ht="12.75" customHeight="1">
      <c r="K21" s="59" t="s">
        <v>88</v>
      </c>
      <c r="L21" s="64" t="s">
        <v>57</v>
      </c>
      <c r="M21" s="15">
        <v>3</v>
      </c>
      <c r="N21" s="58" t="s">
        <v>56</v>
      </c>
    </row>
    <row r="22" spans="11:14" ht="12.75" customHeight="1">
      <c r="K22" s="59" t="s">
        <v>89</v>
      </c>
      <c r="L22" s="64" t="s">
        <v>120</v>
      </c>
      <c r="M22" s="17">
        <v>1.5</v>
      </c>
      <c r="N22" s="58" t="s">
        <v>56</v>
      </c>
    </row>
    <row r="23" spans="11:14" ht="12.75" customHeight="1">
      <c r="K23" s="59" t="s">
        <v>90</v>
      </c>
      <c r="L23" s="68" t="s">
        <v>121</v>
      </c>
      <c r="M23" s="18">
        <v>60</v>
      </c>
      <c r="N23" s="61" t="s">
        <v>58</v>
      </c>
    </row>
  </sheetData>
  <mergeCells count="1">
    <mergeCell ref="A1:I1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Q5"/>
  <sheetViews>
    <sheetView workbookViewId="0" topLeftCell="A1">
      <selection activeCell="A5" sqref="A5"/>
    </sheetView>
  </sheetViews>
  <sheetFormatPr defaultColWidth="9.33203125" defaultRowHeight="12.75"/>
  <cols>
    <col min="1" max="1" width="9.83203125" style="12" customWidth="1"/>
    <col min="2" max="2" width="7.83203125" style="12" customWidth="1"/>
    <col min="3" max="3" width="11" style="12" bestFit="1" customWidth="1"/>
    <col min="4" max="4" width="10.33203125" style="12" bestFit="1" customWidth="1"/>
    <col min="5" max="5" width="6.16015625" style="23" customWidth="1"/>
    <col min="6" max="6" width="7.33203125" style="23" customWidth="1"/>
    <col min="7" max="7" width="10.83203125" style="23" customWidth="1"/>
    <col min="8" max="8" width="7.83203125" style="23" customWidth="1"/>
    <col min="9" max="9" width="7.5" style="23" customWidth="1"/>
    <col min="10" max="10" width="5.5" style="23" customWidth="1"/>
    <col min="11" max="11" width="9.16015625" style="23" customWidth="1"/>
    <col min="12" max="12" width="7.83203125" style="23" customWidth="1"/>
    <col min="13" max="13" width="7.66015625" style="12" customWidth="1"/>
    <col min="14" max="14" width="10.16015625" style="12" customWidth="1"/>
  </cols>
  <sheetData>
    <row r="1" spans="1:15" ht="20.25" customHeight="1">
      <c r="A1" s="73" t="s">
        <v>76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85"/>
      <c r="O1" s="7"/>
    </row>
    <row r="2" ht="9.75" customHeight="1" thickBot="1">
      <c r="M2" s="4"/>
    </row>
    <row r="3" spans="1:14" ht="18" customHeight="1" thickBot="1">
      <c r="A3" s="19" t="s">
        <v>0</v>
      </c>
      <c r="B3" s="19" t="s">
        <v>1</v>
      </c>
      <c r="C3" s="19" t="s">
        <v>13</v>
      </c>
      <c r="D3" s="19" t="s">
        <v>72</v>
      </c>
      <c r="E3" s="20" t="s">
        <v>59</v>
      </c>
      <c r="F3" s="20" t="s">
        <v>60</v>
      </c>
      <c r="G3" s="20" t="s">
        <v>61</v>
      </c>
      <c r="H3" s="20" t="s">
        <v>62</v>
      </c>
      <c r="I3" s="20" t="s">
        <v>63</v>
      </c>
      <c r="J3" s="20" t="s">
        <v>64</v>
      </c>
      <c r="K3" s="20" t="s">
        <v>65</v>
      </c>
      <c r="L3" s="22" t="s">
        <v>2</v>
      </c>
      <c r="M3" s="19" t="s">
        <v>66</v>
      </c>
      <c r="N3" s="19" t="s">
        <v>67</v>
      </c>
    </row>
    <row r="4" spans="1:14" ht="18" customHeight="1" thickBot="1">
      <c r="A4" s="19" t="s">
        <v>71</v>
      </c>
      <c r="B4" s="19" t="s">
        <v>7</v>
      </c>
      <c r="C4" s="19" t="s">
        <v>16</v>
      </c>
      <c r="D4" s="19" t="s">
        <v>71</v>
      </c>
      <c r="E4" s="21" t="s">
        <v>20</v>
      </c>
      <c r="F4" s="21" t="s">
        <v>68</v>
      </c>
      <c r="G4" s="21"/>
      <c r="H4" s="21" t="s">
        <v>17</v>
      </c>
      <c r="I4" s="21" t="s">
        <v>17</v>
      </c>
      <c r="J4" s="21"/>
      <c r="K4" s="21" t="s">
        <v>69</v>
      </c>
      <c r="L4" s="21" t="s">
        <v>17</v>
      </c>
      <c r="M4" s="21" t="s">
        <v>17</v>
      </c>
      <c r="N4" s="21" t="s">
        <v>17</v>
      </c>
    </row>
    <row r="5" spans="1:17" ht="12.75">
      <c r="A5" s="12">
        <f>'raw data'!A5</f>
        <v>78</v>
      </c>
      <c r="B5" s="12">
        <f>'raw data'!B5</f>
        <v>1520</v>
      </c>
      <c r="C5" s="23">
        <f>'calibrated data'!C5</f>
        <v>15.333333333333334</v>
      </c>
      <c r="D5" s="23">
        <f>'calculated variables'!D5</f>
        <v>78.63888888888889</v>
      </c>
      <c r="E5" s="23">
        <f>('calculated variables'!$M$19*'calibrated data'!J5)/(LN('calculated variables'!$M$21/'calculated variables'!$M$20))</f>
        <v>0.0934180085526696</v>
      </c>
      <c r="F5" s="23">
        <f>LN('calculated variables'!$M$22/'calculated variables'!$M$20)/(E5*'calculated variables'!$M$19)</f>
        <v>130.82126114931464</v>
      </c>
      <c r="G5" s="23">
        <f>(1+'calculated variables'!$M$23/F5)</f>
        <v>1.4586410455982242</v>
      </c>
      <c r="H5" s="23">
        <f>('calculated variables'!F5*('calibrated data'!F5-'calibrated data'!G5)+'calculated variables'!$M$6*'calculated variables'!$M$5*('calculated variables'!E5-'calculated variables'!G5)/F5)/('calculated variables'!F5+'calculated variables'!$M$17*G5)</f>
        <v>31.314592488907465</v>
      </c>
      <c r="I5" s="23">
        <f>(('calibrated data'!F5-'calibrated data'!G5)-H5)</f>
        <v>73.1635155328247</v>
      </c>
      <c r="J5" s="23">
        <f>I5/H5</f>
        <v>2.336403245826729</v>
      </c>
      <c r="K5" s="23">
        <f>(H5/'calculated variables'!$M$8)*3600</f>
        <v>0.04601327875921097</v>
      </c>
      <c r="L5" s="24">
        <f>('raw data'!E5)*1000/'calibrated data'!$R$7</f>
        <v>34.38095238095238</v>
      </c>
      <c r="M5" s="25">
        <f>'calibrated data'!F5</f>
        <v>138.85906040268455</v>
      </c>
      <c r="N5" s="23">
        <f>M5-I5-H5-L5</f>
        <v>0</v>
      </c>
      <c r="Q5" s="5"/>
    </row>
  </sheetData>
  <mergeCells count="1">
    <mergeCell ref="A1:N1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Reading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 mast data analysis spreadsheet</dc:title>
  <dc:subject/>
  <dc:creator>I. Russell</dc:creator>
  <cp:keywords/>
  <dc:description/>
  <cp:lastModifiedBy>swslomas</cp:lastModifiedBy>
  <dcterms:created xsi:type="dcterms:W3CDTF">2003-02-14T14:00:29Z</dcterms:created>
  <dcterms:modified xsi:type="dcterms:W3CDTF">2004-06-16T12:48:32Z</dcterms:modified>
  <cp:category/>
  <cp:version/>
  <cp:contentType/>
  <cp:contentStatus/>
</cp:coreProperties>
</file>